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 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<sst xmlns="http://schemas.openxmlformats.org/spreadsheetml/2006/main" count="2034" uniqueCount="290">
  <si>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</si>
  <si>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</si>
  <si>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</si>
  <si>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</si>
  <si>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</si>
  <si>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</si>
  <si>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</si>
  <si>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</si>
  <si>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</si>
  <si>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</si>
  <si>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</si>
  <si>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</si>
  <si>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</si>
  <si>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</si>
  <si>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</si>
  <si>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</si>
  <si>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</si>
  <si>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</si>
  <si>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</si>
  <si>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</si>
  <si>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</si>
  <si>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</si>
  <si>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</si>
  <si>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</si>
  <si>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</si>
  <si>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</si>
  <si>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</si>
  <si>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</si>
  <si>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</si>
  <si>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</si>
  <si>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</si>
  <si>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</si>
  <si>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</si>
  <si>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</si>
  <si>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</si>
  <si>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</si>
  <si>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</si>
  <si>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</si>
  <si>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</si>
  <si>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</si>
  <si>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</si>
  <si>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</si>
  <si>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</si>
  <si>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</si>
  <si>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</si>
  <si>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</si>
  <si>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</si>
  <si>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</si>
  <si>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</si>
  <si>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</si>
  <si>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</si>
  <si>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</si>
  <si>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</si>
  <si>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</si>
  <si>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</si>
  <si>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</si>
  <si>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</si>
  <si>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</si>
  <si>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</si>
  <si>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</si>
  <si>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</si>
  <si>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</si>
  <si>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</si>
  <si>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</si>
  <si>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</si>
  <si>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</si>
  <si>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</si>
  <si>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</si>
  <si>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</si>
  <si>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</si>
  <si>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</si>
  <si>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</si>
  <si>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</si>
  <si>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</si>
  <si>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</si>
  <si>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</si>
  <si>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</si>
  <si>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</si>
  <si>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</si>
  <si>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</si>
  <si>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</si>
  <si>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</si>
  <si>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</si>
  <si>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</si>
  <si>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</si>
  <si>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</si>
  <si>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</si>
  <si>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</si>
  <si>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</si>
  <si>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</si>
  <si>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</si>
  <si>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</si>
  <si>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</si>
  <si>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</si>
  <si>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</si>
  <si>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</si>
  <si>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</si>
  <si>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</si>
  <si>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</si>
  <si>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</si>
  <si>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</si>
  <si>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</si>
  <si>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</si>
  <si>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</si>
  <si>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</si>
  <si>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</si>
  <si>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</si>
  <si>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</si>
  <si>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</si>
  <si>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</si>
  <si>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</si>
  <si>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</si>
  <si>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</si>
  <si>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</si>
  <si>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</si>
  <si>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</si>
  <si>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</si>
  <si>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</si>
  <si>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</si>
  <si>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</si>
  <si>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</si>
  <si>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</si>
  <si>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</si>
  <si>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</si>
  <si>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</si>
  <si>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</si>
  <si>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</si>
  <si>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</si>
  <si>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</si>
  <si>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</si>
  <si>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</si>
  <si>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</si>
  <si>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</si>
  <si>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</si>
  <si>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</si>
  <si>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</si>
  <si>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</si>
  <si>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</si>
  <si>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</si>
  <si>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</si>
  <si>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</si>
  <si>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</si>
  <si>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</si>
  <si>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</si>
  <si>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</si>
  <si>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</si>
  <si>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</si>
  <si>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</si>
  <si>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</si>
  <si>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</si>
  <si>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</si>
  <si>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</si>
  <si>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</si>
  <si>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</si>
  <si>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</si>
  <si>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</si>
  <si>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</si>
  <si>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</si>
  <si>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</si>
  <si>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</si>
  <si>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</si>
  <si>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</si>
  <si>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</si>
  <si>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</si>
  <si>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</si>
  <si>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</si>
  <si>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</si>
  <si>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</si>
  <si>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</si>
  <si>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</si>
  <si>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</si>
  <si>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</si>
  <si>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</si>
  <si>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</si>
  <si>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</si>
  <si>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</si>
  <si>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</si>
  <si>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</si>
  <si>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</si>
  <si>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</si>
  <si>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</si>
  <si>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</si>
  <si>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</si>
  <si>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</si>
  <si>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</si>
  <si>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</si>
  <si>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</si>
  <si>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</si>
  <si>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</si>
  <si>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</si>
  <si>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</si>
  <si>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</si>
  <si>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</si>
  <si>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</si>
  <si>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</si>
  <si>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</si>
  <si>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</si>
  <si>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</si>
  <si>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</si>
  <si>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</si>
  <si>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</si>
  <si>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</si>
  <si>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</si>
  <si>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</si>
  <si>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</si>
  <si>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</si>
  <si>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</si>
  <si>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</si>
  <si>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</si>
  <si>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</si>
  <si>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</si>
  <si>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</si>
  <si>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</si>
  <si>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</si>
  <si>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</si>
  <si>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</si>
  <si>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</si>
  <si>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</si>
  <si>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</si>
  <si>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</si>
  <si>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</si>
  <si>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</si>
  <si>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</si>
  <si>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</si>
  <si>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</si>
  <si>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</si>
  <si>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</si>
  <si>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</si>
  <si>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</si>
  <si>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</si>
  <si>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</si>
  <si>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</si>
  <si>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</si>
  <si>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</si>
  <si>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</si>
  <si>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</si>
  <si>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</si>
  <si>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</si>
  <si>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</si>
  <si>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</si>
  <si>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</si>
  <si>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</si>
  <si>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</si>
  <si>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</si>
  <si>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</si>
  <si>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</si>
  <si>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</si>
  <si>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</si>
  <si>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</si>
  <si>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</si>
  <si>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</si>
  <si>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</si>
  <si>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</si>
  <si>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</si>
  <si>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</si>
  <si>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</si>
  <si>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</si>
  <si>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</si>
  <si>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</si>
  <si>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</si>
  <si>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</si>
  <si>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</si>
  <si>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</si>
  <si>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</si>
  <si>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</si>
  <si>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</si>
  <si>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</si>
  <si>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</si>
  <si>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</si>
  <si>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</si>
  <si>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</si>
  <si>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</si>
  <si>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</si>
  <si>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</si>
  <si>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</si>
  <si>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</si>
  <si>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</si>
  <si>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</si>
  <si>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</si>
  <si>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</si>
  <si>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</si>
  <si>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</si>
  <si>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</si>
  <si>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</si>
  <si>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t>16010000   18000000</t>
  </si>
  <si>
    <t>Динаміка  фактичних надходжень січень-жовтень 2013 та 2014 років</t>
  </si>
  <si>
    <t>16010000  18000000</t>
  </si>
  <si>
    <t>Динаміка  фактичних надходжень жовтень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</si>
  <si>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23.10.2014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</si>
  <si>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22.10.14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</si>
</sst>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20" applyNumberFormat="1" applyFont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9" fontId="7" fillId="0" borderId="8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0"/>
      <sheetName val="депозит"/>
      <sheetName val="залишки  (2)"/>
      <sheetName val="надх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опад"/>
      <sheetName val="Лист1"/>
      <sheetName val="грудень"/>
    </sheetNames>
    <sheetDataSet>
      <sheetData sheetId="13">
        <row r="6">
          <cell r="G6">
            <v>116935617.27</v>
          </cell>
        </row>
        <row r="8">
          <cell r="G8">
            <v>0</v>
          </cell>
        </row>
        <row r="9">
          <cell r="G9">
            <v>9020596.530000001</v>
          </cell>
        </row>
        <row r="10">
          <cell r="G10">
            <v>107915020.74</v>
          </cell>
        </row>
      </sheetData>
      <sheetData sheetId="14">
        <row r="52">
          <cell r="B52">
            <v>13060680.209999997</v>
          </cell>
        </row>
      </sheetData>
      <sheetData sheetId="22">
        <row r="28">
          <cell r="C28">
            <v>4870376.3</v>
          </cell>
        </row>
      </sheetData>
      <sheetData sheetId="23">
        <row r="28">
          <cell r="C28">
            <v>3219411</v>
          </cell>
        </row>
      </sheetData>
      <sheetData sheetId="24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A1">
      <pane xSplit="3" ySplit="9" topLeftCell="D1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138" sqref="F138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3" t="s">
        <v>288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282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279</v>
      </c>
      <c r="H4" s="200" t="s">
        <v>280</v>
      </c>
      <c r="I4" s="202" t="s">
        <v>188</v>
      </c>
      <c r="J4" s="204" t="s">
        <v>189</v>
      </c>
      <c r="K4" s="206" t="s">
        <v>285</v>
      </c>
      <c r="L4" s="207"/>
      <c r="M4" s="194"/>
      <c r="N4" s="181" t="s">
        <v>289</v>
      </c>
      <c r="O4" s="202" t="s">
        <v>136</v>
      </c>
      <c r="P4" s="202" t="s">
        <v>135</v>
      </c>
      <c r="Q4" s="206" t="s">
        <v>287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278</v>
      </c>
      <c r="F5" s="197"/>
      <c r="G5" s="199"/>
      <c r="H5" s="201"/>
      <c r="I5" s="203"/>
      <c r="J5" s="205"/>
      <c r="K5" s="208"/>
      <c r="L5" s="209"/>
      <c r="M5" s="151" t="s">
        <v>281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373308.58999999997</v>
      </c>
      <c r="G8" s="22">
        <f aca="true" t="shared" si="0" ref="G8:G30">F8-E8</f>
        <v>-17695.04999999993</v>
      </c>
      <c r="H8" s="51">
        <f>F8/E8*100</f>
        <v>95.47445389510953</v>
      </c>
      <c r="I8" s="36">
        <f aca="true" t="shared" si="1" ref="I8:I17">F8-D8</f>
        <v>-115167.71000000002</v>
      </c>
      <c r="J8" s="36">
        <f aca="true" t="shared" si="2" ref="J8:J14">F8/D8*100</f>
        <v>76.42307108860757</v>
      </c>
      <c r="K8" s="36">
        <f>F8-381548.5</f>
        <v>-8239.910000000033</v>
      </c>
      <c r="L8" s="136">
        <f>F8/381548.5</f>
        <v>0.9784040298939715</v>
      </c>
      <c r="M8" s="22">
        <f>M10+M19+M33+M56+M68+M30</f>
        <v>39644.799999999974</v>
      </c>
      <c r="N8" s="22">
        <f>N10+N19+N33+N56+N68+N30</f>
        <v>25018.540000000008</v>
      </c>
      <c r="O8" s="36">
        <f aca="true" t="shared" si="3" ref="O8:O71">N8-M8</f>
        <v>-14626.259999999966</v>
      </c>
      <c r="P8" s="36">
        <f>F8/M8*100</f>
        <v>941.6331776172417</v>
      </c>
      <c r="Q8" s="36">
        <f>N8-37261.3</f>
        <v>-12242.759999999995</v>
      </c>
      <c r="R8" s="134">
        <f>N8/37261.3</f>
        <v>0.6714349740883975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305396.75</v>
      </c>
      <c r="G9" s="22">
        <f t="shared" si="0"/>
        <v>305396.75</v>
      </c>
      <c r="H9" s="20"/>
      <c r="I9" s="56">
        <f t="shared" si="1"/>
        <v>-81616.45000000001</v>
      </c>
      <c r="J9" s="56">
        <f t="shared" si="2"/>
        <v>78.91119734417327</v>
      </c>
      <c r="K9" s="56"/>
      <c r="L9" s="135"/>
      <c r="M9" s="20">
        <f>M10+M17</f>
        <v>32246.599999999977</v>
      </c>
      <c r="N9" s="20">
        <f>N10+N17</f>
        <v>22783.070000000007</v>
      </c>
      <c r="O9" s="36">
        <f t="shared" si="3"/>
        <v>-9463.52999999997</v>
      </c>
      <c r="P9" s="56">
        <f>F9/M9*100</f>
        <v>947.0665124385214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305396.75</v>
      </c>
      <c r="G10" s="49">
        <f t="shared" si="0"/>
        <v>-14309.349999999977</v>
      </c>
      <c r="H10" s="40">
        <f aca="true" t="shared" si="4" ref="H10:H17">F10/E10*100</f>
        <v>95.52421739841687</v>
      </c>
      <c r="I10" s="56">
        <f t="shared" si="1"/>
        <v>-81616.45000000001</v>
      </c>
      <c r="J10" s="56">
        <f t="shared" si="2"/>
        <v>78.91119734417327</v>
      </c>
      <c r="K10" s="141">
        <f>F10-302092.5</f>
        <v>3304.25</v>
      </c>
      <c r="L10" s="142">
        <f>F10/302092.5</f>
        <v>1.010937874988621</v>
      </c>
      <c r="M10" s="40">
        <f>E10-вересень!E10</f>
        <v>32246.599999999977</v>
      </c>
      <c r="N10" s="40">
        <f>F10-вересень!F10</f>
        <v>22783.070000000007</v>
      </c>
      <c r="O10" s="53">
        <f t="shared" si="3"/>
        <v>-9463.52999999997</v>
      </c>
      <c r="P10" s="56">
        <f aca="true" t="shared" si="5" ref="P10:P17">N10/M10*100</f>
        <v>70.65262694361584</v>
      </c>
      <c r="Q10" s="141">
        <f>N10-29418.1</f>
        <v>-6635.029999999992</v>
      </c>
      <c r="R10" s="142">
        <f>N10/29418.1</f>
        <v>0.7744575618411796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-392.37</v>
      </c>
      <c r="G19" s="49">
        <f t="shared" si="0"/>
        <v>-1459.9699999999998</v>
      </c>
      <c r="H19" s="40">
        <f aca="true" t="shared" si="6" ref="H19:H29">F19/E19*100</f>
        <v>-36.75252903709254</v>
      </c>
      <c r="I19" s="56">
        <f aca="true" t="shared" si="7" ref="I19:I29">F19-D19</f>
        <v>-1392.37</v>
      </c>
      <c r="J19" s="56">
        <f aca="true" t="shared" si="8" ref="J19:J29">F19/D19*100</f>
        <v>-39.237</v>
      </c>
      <c r="K19" s="167">
        <f>F19-6843.6</f>
        <v>-7235.97</v>
      </c>
      <c r="L19" s="168">
        <f>F19/6843.6</f>
        <v>-0.05733385937226021</v>
      </c>
      <c r="M19" s="40">
        <f>E19-вересень!E19</f>
        <v>11</v>
      </c>
      <c r="N19" s="40">
        <f>F19-вересень!F19</f>
        <v>12.100000000000023</v>
      </c>
      <c r="O19" s="53">
        <f t="shared" si="3"/>
        <v>1.1000000000000227</v>
      </c>
      <c r="P19" s="56">
        <f aca="true" t="shared" si="9" ref="P19:P29">N19/M19*100</f>
        <v>110.00000000000021</v>
      </c>
      <c r="Q19" s="56">
        <f>N19-364.5</f>
        <v>-352.4</v>
      </c>
      <c r="R19" s="135">
        <f>N19/364.5</f>
        <v>0.03319615912208511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106.61</v>
      </c>
      <c r="G29" s="49">
        <f t="shared" si="0"/>
        <v>-700.99</v>
      </c>
      <c r="H29" s="40">
        <f t="shared" si="6"/>
        <v>13.20084200099059</v>
      </c>
      <c r="I29" s="56">
        <f t="shared" si="7"/>
        <v>-823.39</v>
      </c>
      <c r="J29" s="56">
        <f t="shared" si="8"/>
        <v>11.463440860215053</v>
      </c>
      <c r="K29" s="148">
        <f>F29-2915.3</f>
        <v>-2808.69</v>
      </c>
      <c r="L29" s="149">
        <f>F29/2915.3</f>
        <v>0.036569135251946626</v>
      </c>
      <c r="M29" s="40">
        <f>E29-вересень!E29</f>
        <v>11</v>
      </c>
      <c r="N29" s="40">
        <f>F29-вересень!F29</f>
        <v>11</v>
      </c>
      <c r="O29" s="148">
        <f t="shared" si="3"/>
        <v>0</v>
      </c>
      <c r="P29" s="145">
        <f t="shared" si="9"/>
        <v>100</v>
      </c>
      <c r="Q29" s="148">
        <f>N29-55.3</f>
        <v>-44.3</v>
      </c>
      <c r="R29" s="149">
        <f>N29/55.3</f>
        <v>0.19891500904159132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3.31</v>
      </c>
      <c r="G30" s="49">
        <f t="shared" si="0"/>
        <v>-24.19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E30-вересень!E30</f>
        <v>0.5</v>
      </c>
      <c r="N30" s="40">
        <f>F30-вересень!F30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62965.04</v>
      </c>
      <c r="G33" s="49">
        <f aca="true" t="shared" si="14" ref="G33:G72">F33-E33</f>
        <v>-1570.7999999999956</v>
      </c>
      <c r="H33" s="40">
        <f aca="true" t="shared" si="15" ref="H33:H67">F33/E33*100</f>
        <v>97.56600363456957</v>
      </c>
      <c r="I33" s="56">
        <f>F33-D33</f>
        <v>-30600.96</v>
      </c>
      <c r="J33" s="56">
        <f aca="true" t="shared" si="16" ref="J33:J72">F33/D33*100</f>
        <v>67.29478656777034</v>
      </c>
      <c r="K33" s="141">
        <f>F33-67415.8</f>
        <v>-4450.760000000002</v>
      </c>
      <c r="L33" s="142">
        <f>F33/67415.8</f>
        <v>0.933980461553523</v>
      </c>
      <c r="M33" s="40">
        <f>E33-вересень!E33</f>
        <v>6833.699999999997</v>
      </c>
      <c r="N33" s="40">
        <f>F33-вересень!F33</f>
        <v>1732.5800000000017</v>
      </c>
      <c r="O33" s="53">
        <f t="shared" si="3"/>
        <v>-5101.119999999995</v>
      </c>
      <c r="P33" s="56">
        <f aca="true" t="shared" si="17" ref="P33:P67">N33/M33*100</f>
        <v>25.3534688382575</v>
      </c>
      <c r="Q33" s="141">
        <f>N33-7002.6</f>
        <v>-5270.019999999999</v>
      </c>
      <c r="R33" s="142">
        <f>N33/7002.6</f>
        <v>0.24741952988889865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46915.3</v>
      </c>
      <c r="G55" s="144">
        <f t="shared" si="14"/>
        <v>-490.23999999999796</v>
      </c>
      <c r="H55" s="146">
        <f t="shared" si="15"/>
        <v>98.96585926455009</v>
      </c>
      <c r="I55" s="145">
        <f t="shared" si="18"/>
        <v>-23350.699999999997</v>
      </c>
      <c r="J55" s="145">
        <f t="shared" si="16"/>
        <v>66.76813821763015</v>
      </c>
      <c r="K55" s="148">
        <f>F55-49156.62</f>
        <v>-2241.3199999999997</v>
      </c>
      <c r="L55" s="149">
        <f>F55/49156.62</f>
        <v>0.9544045135731464</v>
      </c>
      <c r="M55" s="40">
        <f>E55-вересень!E55</f>
        <v>4933.700000000004</v>
      </c>
      <c r="N55" s="40">
        <f>F55-вересень!F55</f>
        <v>1493.9000000000015</v>
      </c>
      <c r="O55" s="148">
        <f t="shared" si="3"/>
        <v>-3439.800000000003</v>
      </c>
      <c r="P55" s="148">
        <f t="shared" si="17"/>
        <v>30.279506252913635</v>
      </c>
      <c r="Q55" s="160">
        <f>N55-5343.11</f>
        <v>-3849.209999999998</v>
      </c>
      <c r="R55" s="161">
        <f>N55/5343.11</f>
        <v>0.2795937197624607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5666.5</v>
      </c>
      <c r="F56" s="169">
        <f>1.51+5332.81</f>
        <v>5334.320000000001</v>
      </c>
      <c r="G56" s="49">
        <f t="shared" si="14"/>
        <v>-332.1799999999994</v>
      </c>
      <c r="H56" s="40">
        <f t="shared" si="15"/>
        <v>94.13782758316422</v>
      </c>
      <c r="I56" s="56">
        <f t="shared" si="18"/>
        <v>-1525.6799999999994</v>
      </c>
      <c r="J56" s="56">
        <f t="shared" si="16"/>
        <v>77.7597667638484</v>
      </c>
      <c r="K56" s="56">
        <f>F56-5173.5</f>
        <v>160.82000000000062</v>
      </c>
      <c r="L56" s="135">
        <f>F56/5173.5</f>
        <v>1.0310853387455303</v>
      </c>
      <c r="M56" s="40">
        <f>E56-вересень!E56</f>
        <v>553</v>
      </c>
      <c r="N56" s="40">
        <f>F56-вересень!F56</f>
        <v>490.78999999999996</v>
      </c>
      <c r="O56" s="53">
        <f t="shared" si="3"/>
        <v>-62.210000000000036</v>
      </c>
      <c r="P56" s="56">
        <f t="shared" si="17"/>
        <v>88.750452079566</v>
      </c>
      <c r="Q56" s="56">
        <f>N56-479</f>
        <v>11.789999999999964</v>
      </c>
      <c r="R56" s="135">
        <f>N56/479</f>
        <v>1.0246137787056366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F68-(-2)</f>
        <v>3.54</v>
      </c>
      <c r="L68" s="135"/>
      <c r="M68" s="40">
        <f>E68-вересень!E68</f>
        <v>0</v>
      </c>
      <c r="N68" s="40">
        <f>F68-вересень!F68</f>
        <v>0</v>
      </c>
      <c r="O68" s="53">
        <f t="shared" si="3"/>
        <v>0</v>
      </c>
      <c r="P68" s="56"/>
      <c r="Q68" s="56">
        <f>N68-(-0.3)</f>
        <v>0.3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10721.490000000002</v>
      </c>
      <c r="G74" s="50">
        <f aca="true" t="shared" si="24" ref="G74:G92">F74-E74</f>
        <v>-2975.0099999999984</v>
      </c>
      <c r="H74" s="51">
        <f aca="true" t="shared" si="25" ref="H74:H87">F74/E74*100</f>
        <v>78.2790493921805</v>
      </c>
      <c r="I74" s="36">
        <f aca="true" t="shared" si="26" ref="I74:I92">F74-D74</f>
        <v>-7636.809999999998</v>
      </c>
      <c r="J74" s="36">
        <f aca="true" t="shared" si="27" ref="J74:J92">F74/D74*100</f>
        <v>58.40132256254665</v>
      </c>
      <c r="K74" s="36">
        <f>F74-16325.3</f>
        <v>-5603.809999999998</v>
      </c>
      <c r="L74" s="136">
        <f>F74/16325.3</f>
        <v>0.6567407643351119</v>
      </c>
      <c r="M74" s="22">
        <f>M77+M86+M88+M89+M94+M95+M96+M97+M99+M87+M104</f>
        <v>1516.5</v>
      </c>
      <c r="N74" s="22">
        <f>N77+N86+N88+N89+N94+N95+N96+N97+N99+N32+N104+N87+N103</f>
        <v>962.0570000000001</v>
      </c>
      <c r="O74" s="55">
        <f aca="true" t="shared" si="28" ref="O74:O92">N74-M74</f>
        <v>-554.4429999999999</v>
      </c>
      <c r="P74" s="36">
        <f>N74/M74*100</f>
        <v>63.43930102209035</v>
      </c>
      <c r="Q74" s="36">
        <f>N74-1739.9</f>
        <v>-777.843</v>
      </c>
      <c r="R74" s="136">
        <f>N74/1739.9</f>
        <v>0.5529380998907983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F77-1716.7</f>
        <v>-1593.25</v>
      </c>
      <c r="L77" s="168">
        <f>F77/1716.7</f>
        <v>0.0719112250247568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N77-22.2</f>
        <v>-22.2</v>
      </c>
      <c r="R77" s="135">
        <f>N77/22.2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F86-3105.3</f>
        <v>-3105.3</v>
      </c>
      <c r="L86" s="168"/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N86-463.7</f>
        <v>-463.7</v>
      </c>
      <c r="R86" s="135">
        <f>N86/463.7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279.53</v>
      </c>
      <c r="G87" s="49">
        <f t="shared" si="24"/>
        <v>59.52999999999997</v>
      </c>
      <c r="H87" s="40">
        <f t="shared" si="25"/>
        <v>127.05909090909088</v>
      </c>
      <c r="I87" s="56">
        <f t="shared" si="26"/>
        <v>-220.47000000000003</v>
      </c>
      <c r="J87" s="56">
        <f t="shared" si="27"/>
        <v>55.90599999999999</v>
      </c>
      <c r="K87" s="56">
        <f>F87-222.2</f>
        <v>57.329999999999984</v>
      </c>
      <c r="L87" s="135">
        <f>F87/222.2</f>
        <v>1.2580108010801079</v>
      </c>
      <c r="M87" s="40">
        <f>E87-вересень!E87</f>
        <v>0</v>
      </c>
      <c r="N87" s="40">
        <f>F87-вересень!F87</f>
        <v>7.279999999999973</v>
      </c>
      <c r="O87" s="53">
        <f t="shared" si="28"/>
        <v>7.279999999999973</v>
      </c>
      <c r="P87" s="56" t="e">
        <f t="shared" si="29"/>
        <v>#DIV/0!</v>
      </c>
      <c r="Q87" s="56">
        <f>N87-11.9</f>
        <v>-4.620000000000028</v>
      </c>
      <c r="R87" s="135">
        <f>N87/11.9</f>
        <v>0.6117647058823507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F88-4.4</f>
        <v>1.1999999999999993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N88-1.3</f>
        <v>-1.3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108.51</v>
      </c>
      <c r="G89" s="49">
        <f t="shared" si="24"/>
        <v>-35.489999999999995</v>
      </c>
      <c r="H89" s="40">
        <f>F89/E89*100</f>
        <v>75.35416666666667</v>
      </c>
      <c r="I89" s="56">
        <f t="shared" si="26"/>
        <v>-66.49</v>
      </c>
      <c r="J89" s="56">
        <f t="shared" si="27"/>
        <v>62.005714285714284</v>
      </c>
      <c r="K89" s="56">
        <f>F89-137.6</f>
        <v>-29.08999999999999</v>
      </c>
      <c r="L89" s="135">
        <f>F89/137.6</f>
        <v>0.7885901162790698</v>
      </c>
      <c r="M89" s="40">
        <f>E89-вересень!E89</f>
        <v>15</v>
      </c>
      <c r="N89" s="40">
        <f>F89-вересень!F89</f>
        <v>10.560000000000002</v>
      </c>
      <c r="O89" s="53">
        <f t="shared" si="28"/>
        <v>-4.439999999999998</v>
      </c>
      <c r="P89" s="56">
        <f>N89/M89*100</f>
        <v>70.40000000000002</v>
      </c>
      <c r="Q89" s="56">
        <f>N89-14.4</f>
        <v>-3.839999999999998</v>
      </c>
      <c r="R89" s="135">
        <f>N89/14.4</f>
        <v>0.7333333333333335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5936.55</v>
      </c>
      <c r="G95" s="49">
        <f t="shared" si="31"/>
        <v>105.05000000000018</v>
      </c>
      <c r="H95" s="40">
        <f>F95/E95*100</f>
        <v>101.80142330446714</v>
      </c>
      <c r="I95" s="56">
        <f t="shared" si="32"/>
        <v>-1063.4499999999998</v>
      </c>
      <c r="J95" s="56">
        <f>F95/D95*100</f>
        <v>84.80785714285715</v>
      </c>
      <c r="K95" s="56">
        <f>F95-6170</f>
        <v>-233.44999999999982</v>
      </c>
      <c r="L95" s="135">
        <f>F95/6170</f>
        <v>0.9621636952998379</v>
      </c>
      <c r="M95" s="40">
        <f>E95-вересень!E95</f>
        <v>575</v>
      </c>
      <c r="N95" s="40">
        <f>F95-вересень!F95</f>
        <v>571.1300000000001</v>
      </c>
      <c r="O95" s="53">
        <f t="shared" si="33"/>
        <v>-3.869999999999891</v>
      </c>
      <c r="P95" s="56">
        <f>N95/M95*100</f>
        <v>99.32695652173915</v>
      </c>
      <c r="Q95" s="56">
        <f>N95-652.5</f>
        <v>-81.36999999999989</v>
      </c>
      <c r="R95" s="135">
        <f>N95/652.5</f>
        <v>0.8752950191570883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851.5</v>
      </c>
      <c r="G96" s="49">
        <f t="shared" si="31"/>
        <v>-53</v>
      </c>
      <c r="H96" s="40">
        <f>F96/E96*100</f>
        <v>94.14040906578221</v>
      </c>
      <c r="I96" s="56">
        <f t="shared" si="32"/>
        <v>-348.5</v>
      </c>
      <c r="J96" s="56">
        <f>F96/D96*100</f>
        <v>70.95833333333333</v>
      </c>
      <c r="K96" s="56">
        <f>F96-930</f>
        <v>-78.5</v>
      </c>
      <c r="L96" s="135">
        <f>F96/930</f>
        <v>0.9155913978494624</v>
      </c>
      <c r="M96" s="40">
        <f>E96-вересень!E96</f>
        <v>110</v>
      </c>
      <c r="N96" s="40">
        <f>F96-вересень!F96</f>
        <v>69.12</v>
      </c>
      <c r="O96" s="53">
        <f t="shared" si="33"/>
        <v>-40.879999999999995</v>
      </c>
      <c r="P96" s="56">
        <f>N96/M96*100</f>
        <v>62.83636363636364</v>
      </c>
      <c r="Q96" s="56">
        <f>N96-134.5</f>
        <v>-65.38</v>
      </c>
      <c r="R96" s="135">
        <f>N96/134.5</f>
        <v>0.5139033457249071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3397.8</v>
      </c>
      <c r="G99" s="49">
        <f t="shared" si="31"/>
        <v>60.80000000000018</v>
      </c>
      <c r="H99" s="40">
        <f>F99/E99*100</f>
        <v>101.82199580461493</v>
      </c>
      <c r="I99" s="56">
        <f t="shared" si="32"/>
        <v>-1174.8999999999996</v>
      </c>
      <c r="J99" s="56">
        <f>F99/D99*100</f>
        <v>74.3062085857371</v>
      </c>
      <c r="K99" s="56">
        <f>F99-3845.9</f>
        <v>-448.0999999999999</v>
      </c>
      <c r="L99" s="135">
        <f>F99/3845.9</f>
        <v>0.8834863100964664</v>
      </c>
      <c r="M99" s="40">
        <f>E99-вересень!E99</f>
        <v>330</v>
      </c>
      <c r="N99" s="40">
        <f>F99-вересень!F99</f>
        <v>303.9670000000001</v>
      </c>
      <c r="O99" s="53">
        <f t="shared" si="33"/>
        <v>-26.0329999999999</v>
      </c>
      <c r="P99" s="56">
        <f>N99/M99*100</f>
        <v>92.11121212121215</v>
      </c>
      <c r="Q99" s="56">
        <f>N99-434.7</f>
        <v>-130.7329999999999</v>
      </c>
      <c r="R99" s="135">
        <f>N99/434.7</f>
        <v>0.6992569588221764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826.5</v>
      </c>
      <c r="G102" s="144"/>
      <c r="H102" s="146"/>
      <c r="I102" s="145"/>
      <c r="J102" s="145"/>
      <c r="K102" s="148">
        <f>F102-647.5</f>
        <v>179</v>
      </c>
      <c r="L102" s="149">
        <f>F102/647.5</f>
        <v>1.2764478764478764</v>
      </c>
      <c r="M102" s="40">
        <f>E102-вересень!E102</f>
        <v>0</v>
      </c>
      <c r="N102" s="40">
        <f>F102-вересень!F102</f>
        <v>68.10000000000002</v>
      </c>
      <c r="O102" s="53"/>
      <c r="P102" s="60"/>
      <c r="Q102" s="60">
        <f>N102-103.3</f>
        <v>-35.199999999999974</v>
      </c>
      <c r="R102" s="138">
        <f>N102/103.3</f>
        <v>0.6592449177153923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-45.18</v>
      </c>
      <c r="K104" s="56">
        <f>F104-63.9</f>
        <v>-50.62</v>
      </c>
      <c r="L104" s="135">
        <f>F104/63.9</f>
        <v>0.20782472613458527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20.32</v>
      </c>
      <c r="G105" s="49">
        <f>F105-E105</f>
        <v>-6.879999999999999</v>
      </c>
      <c r="H105" s="40">
        <f>F105/E105*100</f>
        <v>74.70588235294117</v>
      </c>
      <c r="I105" s="56">
        <f t="shared" si="34"/>
        <v>-24.68</v>
      </c>
      <c r="J105" s="56">
        <f aca="true" t="shared" si="36" ref="J105:J110">F105/D105*100</f>
        <v>45.15555555555555</v>
      </c>
      <c r="K105" s="56">
        <f>F105-17.2</f>
        <v>3.120000000000001</v>
      </c>
      <c r="L105" s="135">
        <f>F105/17.2</f>
        <v>1.1813953488372093</v>
      </c>
      <c r="M105" s="40">
        <f>E105-вересень!E105</f>
        <v>3</v>
      </c>
      <c r="N105" s="40">
        <f>F105-вересень!F105</f>
        <v>0.4200000000000017</v>
      </c>
      <c r="O105" s="53">
        <f t="shared" si="35"/>
        <v>-2.5799999999999983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384050.76999999996</v>
      </c>
      <c r="G107" s="175">
        <f>F107-E107</f>
        <v>-20676.56999999995</v>
      </c>
      <c r="H107" s="51">
        <f>F107/E107*100</f>
        <v>94.89123467665912</v>
      </c>
      <c r="I107" s="36">
        <f t="shared" si="34"/>
        <v>-122828.83000000002</v>
      </c>
      <c r="J107" s="36">
        <f t="shared" si="36"/>
        <v>75.76765172636657</v>
      </c>
      <c r="K107" s="36">
        <f>F107-397893.6</f>
        <v>-13842.830000000016</v>
      </c>
      <c r="L107" s="136">
        <f>F107/397893.6</f>
        <v>0.965209719382267</v>
      </c>
      <c r="M107" s="22">
        <f>M8+M74+M105+M106</f>
        <v>41164.299999999974</v>
      </c>
      <c r="N107" s="22">
        <f>N8+N74+N105+N106</f>
        <v>25981.017000000007</v>
      </c>
      <c r="O107" s="55">
        <f t="shared" si="35"/>
        <v>-15183.282999999967</v>
      </c>
      <c r="P107" s="36">
        <f>N107/M107*100</f>
        <v>63.11541068352923</v>
      </c>
      <c r="Q107" s="36">
        <f>N107-39005.1</f>
        <v>-13024.082999999991</v>
      </c>
      <c r="R107" s="136">
        <f>N107/39005.1</f>
        <v>0.6660928186314099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306248.25</v>
      </c>
      <c r="G108" s="153">
        <f>G10-G18+G96</f>
        <v>-14362.349999999977</v>
      </c>
      <c r="H108" s="72">
        <f>F108/E108*100</f>
        <v>95.52031342694222</v>
      </c>
      <c r="I108" s="52">
        <f t="shared" si="34"/>
        <v>-81964.95000000001</v>
      </c>
      <c r="J108" s="52">
        <f t="shared" si="36"/>
        <v>78.88661436550844</v>
      </c>
      <c r="K108" s="52">
        <f>F108-303111.5</f>
        <v>3136.75</v>
      </c>
      <c r="L108" s="137">
        <f>F108/303111.5</f>
        <v>1.0103485021188572</v>
      </c>
      <c r="M108" s="71">
        <f>M10-M18+M96</f>
        <v>32356.599999999977</v>
      </c>
      <c r="N108" s="71">
        <f>N10-N18+N96</f>
        <v>22852.190000000006</v>
      </c>
      <c r="O108" s="53">
        <f t="shared" si="35"/>
        <v>-9504.40999999997</v>
      </c>
      <c r="P108" s="52">
        <f>N108/M108*100</f>
        <v>70.62605465345563</v>
      </c>
      <c r="Q108" s="52">
        <f>N108-29552.7</f>
        <v>-6700.509999999995</v>
      </c>
      <c r="R108" s="137">
        <f>N108/29552.7</f>
        <v>0.7732691090830958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77802.51999999996</v>
      </c>
      <c r="G109" s="176">
        <f>F109-E109</f>
        <v>-6314.219999999972</v>
      </c>
      <c r="H109" s="72">
        <f>F109/E109*100</f>
        <v>92.49350367120745</v>
      </c>
      <c r="I109" s="52">
        <f t="shared" si="34"/>
        <v>-40863.880000000005</v>
      </c>
      <c r="J109" s="52">
        <f t="shared" si="36"/>
        <v>65.5640686833004</v>
      </c>
      <c r="K109" s="52">
        <f>F109-94782.1</f>
        <v>-16979.580000000045</v>
      </c>
      <c r="L109" s="137">
        <f>F109/94782.1</f>
        <v>0.8208566807445705</v>
      </c>
      <c r="M109" s="71">
        <f>M107-M108</f>
        <v>8807.699999999997</v>
      </c>
      <c r="N109" s="71">
        <f>N107-N108</f>
        <v>3128.827000000001</v>
      </c>
      <c r="O109" s="53">
        <f t="shared" si="35"/>
        <v>-5678.872999999996</v>
      </c>
      <c r="P109" s="52">
        <f>N109/M109*100</f>
        <v>35.52376897487428</v>
      </c>
      <c r="Q109" s="52">
        <f>N109-9452.4</f>
        <v>-6323.5729999999985</v>
      </c>
      <c r="R109" s="137">
        <f>N109/9452.4</f>
        <v>0.33100873852143387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306248.25</v>
      </c>
      <c r="G110" s="111">
        <f>F110-E110</f>
        <v>-8992.450000000012</v>
      </c>
      <c r="H110" s="72">
        <f>F110/E110*100</f>
        <v>97.14743369114457</v>
      </c>
      <c r="I110" s="81">
        <f t="shared" si="34"/>
        <v>-81964.95000000001</v>
      </c>
      <c r="J110" s="52">
        <f t="shared" si="36"/>
        <v>78.88661436550844</v>
      </c>
      <c r="K110" s="52"/>
      <c r="L110" s="137"/>
      <c r="M110" s="72">
        <f>E110-вересень!E110</f>
        <v>32356.600000000035</v>
      </c>
      <c r="N110" s="71">
        <f>N108</f>
        <v>22852.190000000006</v>
      </c>
      <c r="O110" s="63">
        <f t="shared" si="35"/>
        <v>-9504.410000000029</v>
      </c>
      <c r="P110" s="52">
        <f>N110/M110*100</f>
        <v>70.6260546534555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F114-21.5</f>
        <v>-21.54</v>
      </c>
      <c r="L114" s="138">
        <f>F114/21.5</f>
        <v>-0.0018604651162790699</v>
      </c>
      <c r="M114" s="40">
        <f>E114-вересень!E114</f>
        <v>0</v>
      </c>
      <c r="N114" s="40">
        <f>F114-вересень!F114</f>
        <v>0.1</v>
      </c>
      <c r="O114" s="53"/>
      <c r="P114" s="60"/>
      <c r="Q114" s="60">
        <f>N114-0.9</f>
        <v>-0.8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1300.2</v>
      </c>
      <c r="G115" s="49">
        <f t="shared" si="37"/>
        <v>-1706.8</v>
      </c>
      <c r="H115" s="40">
        <f aca="true" t="shared" si="39" ref="H115:H126">F115/E115*100</f>
        <v>43.23910874625873</v>
      </c>
      <c r="I115" s="60">
        <f t="shared" si="38"/>
        <v>-2371.3</v>
      </c>
      <c r="J115" s="60">
        <f aca="true" t="shared" si="40" ref="J115:J121">F115/D115*100</f>
        <v>35.4133188070271</v>
      </c>
      <c r="K115" s="60">
        <f>F115-3128</f>
        <v>-1827.8</v>
      </c>
      <c r="L115" s="138">
        <f>F115/3128</f>
        <v>0.41566496163682864</v>
      </c>
      <c r="M115" s="40">
        <f>E115-вересень!E115</f>
        <v>327.4000000000001</v>
      </c>
      <c r="N115" s="40">
        <f>F115-вересень!F115</f>
        <v>177.26999999999998</v>
      </c>
      <c r="O115" s="53">
        <f aca="true" t="shared" si="41" ref="O115:O126">N115-M115</f>
        <v>-150.1300000000001</v>
      </c>
      <c r="P115" s="60">
        <f>N115/M115*100</f>
        <v>54.14477703115453</v>
      </c>
      <c r="Q115" s="60">
        <f>N115-50.4</f>
        <v>126.86999999999998</v>
      </c>
      <c r="R115" s="138">
        <f>N115/50.4</f>
        <v>3.5172619047619045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261.79</v>
      </c>
      <c r="G116" s="49">
        <f t="shared" si="37"/>
        <v>39.29000000000002</v>
      </c>
      <c r="H116" s="40">
        <f t="shared" si="39"/>
        <v>117.65842696629214</v>
      </c>
      <c r="I116" s="60">
        <f t="shared" si="38"/>
        <v>-6.310000000000002</v>
      </c>
      <c r="J116" s="60">
        <f t="shared" si="40"/>
        <v>97.64640059679223</v>
      </c>
      <c r="K116" s="60">
        <f>F116-231.4</f>
        <v>30.390000000000015</v>
      </c>
      <c r="L116" s="138">
        <f>F116/231.4</f>
        <v>1.13133102852204</v>
      </c>
      <c r="M116" s="40">
        <f>E116-вересень!E116</f>
        <v>22</v>
      </c>
      <c r="N116" s="40">
        <f>F116-вересень!F116</f>
        <v>24.630000000000024</v>
      </c>
      <c r="O116" s="53">
        <f t="shared" si="41"/>
        <v>2.630000000000024</v>
      </c>
      <c r="P116" s="60">
        <f>N116/M116*100</f>
        <v>111.95454545454557</v>
      </c>
      <c r="Q116" s="60">
        <f>N116-21.4</f>
        <v>3.2300000000000253</v>
      </c>
      <c r="R116" s="138">
        <f>N116/21.4</f>
        <v>1.1509345794392536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1561.95</v>
      </c>
      <c r="G117" s="62">
        <f t="shared" si="37"/>
        <v>-1667.55</v>
      </c>
      <c r="H117" s="72">
        <f t="shared" si="39"/>
        <v>48.36507199256851</v>
      </c>
      <c r="I117" s="61">
        <f t="shared" si="38"/>
        <v>-2377.6499999999996</v>
      </c>
      <c r="J117" s="61">
        <f t="shared" si="40"/>
        <v>39.64742613463296</v>
      </c>
      <c r="K117" s="61">
        <f>F117-33371</f>
        <v>-31809.05</v>
      </c>
      <c r="L117" s="139">
        <f>F117/3371</f>
        <v>0.463349154553545</v>
      </c>
      <c r="M117" s="62">
        <f>M115+M116+M114</f>
        <v>349.4000000000001</v>
      </c>
      <c r="N117" s="38">
        <f>SUM(N114:N116)</f>
        <v>202</v>
      </c>
      <c r="O117" s="61">
        <f t="shared" si="41"/>
        <v>-147.4000000000001</v>
      </c>
      <c r="P117" s="61">
        <f>N117/M117*100</f>
        <v>57.8133943903835</v>
      </c>
      <c r="Q117" s="61">
        <f>N117-71.8</f>
        <v>130.2</v>
      </c>
      <c r="R117" s="139">
        <f>N117/71.8</f>
        <v>2.8133704735376046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333.5</v>
      </c>
      <c r="G119" s="49">
        <f t="shared" si="37"/>
        <v>73</v>
      </c>
      <c r="H119" s="40">
        <f t="shared" si="39"/>
        <v>128.02303262955854</v>
      </c>
      <c r="I119" s="60">
        <f t="shared" si="38"/>
        <v>66.30000000000001</v>
      </c>
      <c r="J119" s="60">
        <f t="shared" si="40"/>
        <v>124.812874251497</v>
      </c>
      <c r="K119" s="60">
        <f>F119-234.2</f>
        <v>99.30000000000001</v>
      </c>
      <c r="L119" s="138">
        <f>F119/234.2</f>
        <v>1.4239965841161402</v>
      </c>
      <c r="M119" s="40">
        <f>E119-вересень!E119</f>
        <v>73</v>
      </c>
      <c r="N119" s="40">
        <f>F119-вересень!F119</f>
        <v>19.350000000000023</v>
      </c>
      <c r="O119" s="53">
        <f>N119-M119</f>
        <v>-53.64999999999998</v>
      </c>
      <c r="P119" s="60">
        <f>N119/M119*100</f>
        <v>26.506849315068525</v>
      </c>
      <c r="Q119" s="60">
        <f>N119-59.7</f>
        <v>-40.34999999999998</v>
      </c>
      <c r="R119" s="138">
        <f>N119/59.7</f>
        <v>0.3241206030150757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65906</v>
      </c>
      <c r="G120" s="49">
        <f t="shared" si="37"/>
        <v>5893.4000000000015</v>
      </c>
      <c r="H120" s="40">
        <f t="shared" si="39"/>
        <v>109.82027107640728</v>
      </c>
      <c r="I120" s="53">
        <f t="shared" si="38"/>
        <v>-6069.990000000005</v>
      </c>
      <c r="J120" s="60">
        <f t="shared" si="40"/>
        <v>91.56664604404885</v>
      </c>
      <c r="K120" s="60">
        <f>F120-58190.1</f>
        <v>7715.9000000000015</v>
      </c>
      <c r="L120" s="138">
        <f>F120/58190.1</f>
        <v>1.1325981567311278</v>
      </c>
      <c r="M120" s="40">
        <f>E120-вересень!E120</f>
        <v>7500</v>
      </c>
      <c r="N120" s="40">
        <f>F120-вересень!F120</f>
        <v>6369.540000000001</v>
      </c>
      <c r="O120" s="53">
        <f t="shared" si="41"/>
        <v>-1130.4599999999991</v>
      </c>
      <c r="P120" s="60">
        <f aca="true" t="shared" si="42" ref="P120:P125">N120/M120*100</f>
        <v>84.92720000000001</v>
      </c>
      <c r="Q120" s="60">
        <f>N120-7531</f>
        <v>-1161.4599999999991</v>
      </c>
      <c r="R120" s="138">
        <f>N120/7531</f>
        <v>0.8457761253485594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1754.78</v>
      </c>
      <c r="G121" s="49">
        <f t="shared" si="37"/>
        <v>-1444.6200000000001</v>
      </c>
      <c r="H121" s="40">
        <f t="shared" si="39"/>
        <v>54.84715884228293</v>
      </c>
      <c r="I121" s="60">
        <f t="shared" si="38"/>
        <v>-2995.2200000000003</v>
      </c>
      <c r="J121" s="60">
        <f t="shared" si="40"/>
        <v>36.94273684210526</v>
      </c>
      <c r="K121" s="60">
        <f>F121-1289.6</f>
        <v>465.18000000000006</v>
      </c>
      <c r="L121" s="138">
        <f>F121/1289.6</f>
        <v>1.3607165012406948</v>
      </c>
      <c r="M121" s="40">
        <f>E121-вересень!E121</f>
        <v>1476.4</v>
      </c>
      <c r="N121" s="40">
        <f>F121-вересень!F121</f>
        <v>0.049999999999954525</v>
      </c>
      <c r="O121" s="53">
        <f t="shared" si="41"/>
        <v>-1476.3500000000001</v>
      </c>
      <c r="P121" s="60">
        <f t="shared" si="42"/>
        <v>0.0033866160931965944</v>
      </c>
      <c r="Q121" s="60">
        <f>N121-0</f>
        <v>0.049999999999954525</v>
      </c>
      <c r="R121" s="138" t="e">
        <f>N121/0</f>
        <v>#DIV/0!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2732.53</v>
      </c>
      <c r="G122" s="49">
        <f t="shared" si="37"/>
        <v>-14843.699999999999</v>
      </c>
      <c r="H122" s="40">
        <f t="shared" si="39"/>
        <v>15.546735562745823</v>
      </c>
      <c r="I122" s="60">
        <f t="shared" si="38"/>
        <v>-20344.600000000002</v>
      </c>
      <c r="J122" s="60">
        <f>F122/D122*100</f>
        <v>11.84085716031413</v>
      </c>
      <c r="K122" s="60">
        <f>F122-22665.8</f>
        <v>-19933.27</v>
      </c>
      <c r="L122" s="138">
        <f>F122/22665.8</f>
        <v>0.12055740366543428</v>
      </c>
      <c r="M122" s="40">
        <f>E122-вересень!E122</f>
        <v>4648.800000000001</v>
      </c>
      <c r="N122" s="40">
        <f>F122-вересень!F122</f>
        <v>339.2900000000004</v>
      </c>
      <c r="O122" s="53">
        <f t="shared" si="41"/>
        <v>-4309.51</v>
      </c>
      <c r="P122" s="60">
        <f t="shared" si="42"/>
        <v>7.298442608845301</v>
      </c>
      <c r="Q122" s="60">
        <f>N122-361.9</f>
        <v>-22.60999999999956</v>
      </c>
      <c r="R122" s="138">
        <f>N122/361.9</f>
        <v>0.9375241779497111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1110.6</v>
      </c>
      <c r="G123" s="49">
        <f t="shared" si="37"/>
        <v>-510.21000000000004</v>
      </c>
      <c r="H123" s="40">
        <f t="shared" si="39"/>
        <v>68.52129490810151</v>
      </c>
      <c r="I123" s="60">
        <f t="shared" si="38"/>
        <v>-889.4000000000001</v>
      </c>
      <c r="J123" s="60">
        <f>F123/D123*100</f>
        <v>55.52999999999999</v>
      </c>
      <c r="K123" s="60">
        <f>F123-1722.8</f>
        <v>-612.2</v>
      </c>
      <c r="L123" s="138">
        <f>F123/1722.8</f>
        <v>0.6446482470397028</v>
      </c>
      <c r="M123" s="40">
        <f>E123-вересень!E123</f>
        <v>189.58999999999992</v>
      </c>
      <c r="N123" s="40">
        <f>F123-вересень!F123</f>
        <v>35.68999999999983</v>
      </c>
      <c r="O123" s="53">
        <f t="shared" si="41"/>
        <v>-153.9000000000001</v>
      </c>
      <c r="P123" s="60">
        <f t="shared" si="42"/>
        <v>18.824832533361384</v>
      </c>
      <c r="Q123" s="60">
        <f>N123-62.5</f>
        <v>-26.810000000000173</v>
      </c>
      <c r="R123" s="138">
        <f>N123/62.5</f>
        <v>0.5710399999999972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71837.41</v>
      </c>
      <c r="G124" s="62">
        <f t="shared" si="37"/>
        <v>-10832.12999999999</v>
      </c>
      <c r="H124" s="72">
        <f t="shared" si="39"/>
        <v>86.89707236788787</v>
      </c>
      <c r="I124" s="61">
        <f t="shared" si="38"/>
        <v>-30232.910000000003</v>
      </c>
      <c r="J124" s="61">
        <f>F124/D124*100</f>
        <v>70.38031231801762</v>
      </c>
      <c r="K124" s="61">
        <f>F124-84102.5</f>
        <v>-12265.089999999997</v>
      </c>
      <c r="L124" s="139">
        <f>F124/84102.5</f>
        <v>0.8541649772598913</v>
      </c>
      <c r="M124" s="62">
        <f>M120+M121+M122+M123+M119</f>
        <v>13887.79</v>
      </c>
      <c r="N124" s="62">
        <f>N120+N121+N122+N123+N119</f>
        <v>6763.920000000001</v>
      </c>
      <c r="O124" s="61">
        <f t="shared" si="41"/>
        <v>-7123.87</v>
      </c>
      <c r="P124" s="61">
        <f t="shared" si="42"/>
        <v>48.704077466609164</v>
      </c>
      <c r="Q124" s="61">
        <f>N124-8015.1</f>
        <v>-1251.1799999999994</v>
      </c>
      <c r="R124" s="139">
        <f>N124/8015.1</f>
        <v>0.843897144140435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26.3</v>
      </c>
      <c r="G125" s="49">
        <f t="shared" si="37"/>
        <v>-4.859999999999999</v>
      </c>
      <c r="H125" s="40">
        <f t="shared" si="39"/>
        <v>84.40308087291399</v>
      </c>
      <c r="I125" s="60">
        <f t="shared" si="38"/>
        <v>-17.2</v>
      </c>
      <c r="J125" s="60">
        <f>F125/D125*100</f>
        <v>60.459770114942536</v>
      </c>
      <c r="K125" s="60">
        <f>F125-114</f>
        <v>-87.7</v>
      </c>
      <c r="L125" s="138">
        <f>F125/114</f>
        <v>0.2307017543859649</v>
      </c>
      <c r="M125" s="40">
        <f>E125-вересень!E125</f>
        <v>4</v>
      </c>
      <c r="N125" s="40">
        <f>F125-вересень!F125</f>
        <v>2.129999999999999</v>
      </c>
      <c r="O125" s="53">
        <f t="shared" si="41"/>
        <v>-1.870000000000001</v>
      </c>
      <c r="P125" s="60">
        <f t="shared" si="42"/>
        <v>53.24999999999997</v>
      </c>
      <c r="Q125" s="60">
        <f>N125-2.2</f>
        <v>-0.07000000000000117</v>
      </c>
      <c r="R125" s="138">
        <f>N125/2.2</f>
        <v>0.9681818181818177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F127-17.2</f>
        <v>2.280000000000001</v>
      </c>
      <c r="L127" s="138">
        <f>F127/17.2</f>
        <v>1.1325581395348838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N127-8.7</f>
        <v>-8.7</v>
      </c>
      <c r="R127" s="162">
        <f>N127/8.7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7376.5</v>
      </c>
      <c r="G128" s="49">
        <f aca="true" t="shared" si="43" ref="G128:G135">F128-E128</f>
        <v>656</v>
      </c>
      <c r="H128" s="40">
        <f>F128/E128*100</f>
        <v>109.76117848374376</v>
      </c>
      <c r="I128" s="60">
        <f aca="true" t="shared" si="44" ref="I128:I135">F128-D128</f>
        <v>-1323.5</v>
      </c>
      <c r="J128" s="60">
        <f>F128/D128*100</f>
        <v>84.78735632183908</v>
      </c>
      <c r="K128" s="60">
        <f>F128-8728.7</f>
        <v>-1352.2000000000007</v>
      </c>
      <c r="L128" s="138">
        <f>F128/8728.7</f>
        <v>0.8450857516010402</v>
      </c>
      <c r="M128" s="40">
        <f>E128-вересень!E128</f>
        <v>2</v>
      </c>
      <c r="N128" s="40">
        <f>F128-вересень!F128</f>
        <v>7.619999999999891</v>
      </c>
      <c r="O128" s="53">
        <f aca="true" t="shared" si="45" ref="O128:O135">N128-M128</f>
        <v>5.619999999999891</v>
      </c>
      <c r="P128" s="60">
        <f>N128/M128*100</f>
        <v>380.99999999999454</v>
      </c>
      <c r="Q128" s="60">
        <f>N128-13.5</f>
        <v>-5.880000000000109</v>
      </c>
      <c r="R128" s="162">
        <f>N128/13.5</f>
        <v>0.5644444444444363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1.18</v>
      </c>
      <c r="G129" s="49">
        <f t="shared" si="43"/>
        <v>1.18</v>
      </c>
      <c r="H129" s="40"/>
      <c r="I129" s="60">
        <f t="shared" si="44"/>
        <v>1.18</v>
      </c>
      <c r="J129" s="60"/>
      <c r="K129" s="60">
        <f>F129-1.1</f>
        <v>0.07999999999999985</v>
      </c>
      <c r="L129" s="138">
        <f>F129/1.1</f>
        <v>1.0727272727272725</v>
      </c>
      <c r="M129" s="40">
        <f>E129-вересень!E129</f>
        <v>0</v>
      </c>
      <c r="N129" s="40">
        <f>F129-вересень!F129</f>
        <v>0.09999999999999987</v>
      </c>
      <c r="O129" s="53">
        <f t="shared" si="45"/>
        <v>0.09999999999999987</v>
      </c>
      <c r="P129" s="60"/>
      <c r="Q129" s="60">
        <f>N129-0.1</f>
        <v>-1.3877787807814457E-16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7423.46</v>
      </c>
      <c r="G130" s="62">
        <f t="shared" si="43"/>
        <v>664.6000000000004</v>
      </c>
      <c r="H130" s="72">
        <f>F130/E130*100</f>
        <v>109.83301917779033</v>
      </c>
      <c r="I130" s="61">
        <f t="shared" si="44"/>
        <v>-1327.2400000000007</v>
      </c>
      <c r="J130" s="61">
        <f>F130/D130*100</f>
        <v>84.83275623664392</v>
      </c>
      <c r="K130" s="61">
        <f>F130-8860.9</f>
        <v>-1437.4399999999996</v>
      </c>
      <c r="L130" s="139">
        <f>G130/8860.9</f>
        <v>0.07500366779898208</v>
      </c>
      <c r="M130" s="62">
        <f>M125+M128+M129+M127</f>
        <v>6</v>
      </c>
      <c r="N130" s="62">
        <f>N125+N128+N129+N127</f>
        <v>9.84999999999989</v>
      </c>
      <c r="O130" s="61">
        <f t="shared" si="45"/>
        <v>3.8499999999998895</v>
      </c>
      <c r="P130" s="61">
        <f>N130/M130*100</f>
        <v>164.1666666666648</v>
      </c>
      <c r="Q130" s="61">
        <f>N130-24.5</f>
        <v>-14.65000000000011</v>
      </c>
      <c r="R130" s="137">
        <f>N130/24.5</f>
        <v>0.4020408163265261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32.63</v>
      </c>
      <c r="G131" s="49">
        <f>F131-E131</f>
        <v>8.780000000000001</v>
      </c>
      <c r="H131" s="40">
        <f>F131/E131*100</f>
        <v>136.81341719077568</v>
      </c>
      <c r="I131" s="60">
        <f>F131-D131</f>
        <v>2.6300000000000026</v>
      </c>
      <c r="J131" s="60">
        <f>F131/D131*100</f>
        <v>108.76666666666668</v>
      </c>
      <c r="K131" s="60">
        <f>F131-28</f>
        <v>4.630000000000003</v>
      </c>
      <c r="L131" s="138">
        <f>F131/28</f>
        <v>1.165357142857143</v>
      </c>
      <c r="M131" s="40">
        <f>E131-вересень!E131</f>
        <v>0.40000000000000213</v>
      </c>
      <c r="N131" s="40">
        <f>F131-вересень!F131</f>
        <v>0.7700000000000031</v>
      </c>
      <c r="O131" s="53">
        <f>N131-M131</f>
        <v>0.370000000000001</v>
      </c>
      <c r="P131" s="60">
        <f>N131/M131*100</f>
        <v>192.49999999999977</v>
      </c>
      <c r="Q131" s="60">
        <f>N131-2.6</f>
        <v>-1.829999999999997</v>
      </c>
      <c r="R131" s="138">
        <f>N131/2.6</f>
        <v>0.2961538461538473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80855.45000000001</v>
      </c>
      <c r="G134" s="50">
        <f t="shared" si="43"/>
        <v>-11826.299999999988</v>
      </c>
      <c r="H134" s="51">
        <f>F134/E134*100</f>
        <v>87.23988271693189</v>
      </c>
      <c r="I134" s="36">
        <f t="shared" si="44"/>
        <v>-33935.17</v>
      </c>
      <c r="J134" s="36">
        <f>F134/D134*100</f>
        <v>70.43733190046365</v>
      </c>
      <c r="K134" s="36">
        <f>F134-96362.3</f>
        <v>-15506.849999999991</v>
      </c>
      <c r="L134" s="136">
        <f>F134/96362.3</f>
        <v>0.8390776268312401</v>
      </c>
      <c r="M134" s="31">
        <f>M117+M131+M124+M130+M133+M132</f>
        <v>14243.59</v>
      </c>
      <c r="N134" s="31">
        <f>N117+N131+N124+N130+N133+N132</f>
        <v>6976.540000000001</v>
      </c>
      <c r="O134" s="36">
        <f t="shared" si="45"/>
        <v>-7267.049999999999</v>
      </c>
      <c r="P134" s="36">
        <f>N134/M134*100</f>
        <v>48.980207939150176</v>
      </c>
      <c r="Q134" s="36">
        <f>N134-8114</f>
        <v>-1137.4599999999991</v>
      </c>
      <c r="R134" s="136">
        <f>N134/8114</f>
        <v>0.8598151343357161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464906.22</v>
      </c>
      <c r="G135" s="50">
        <f t="shared" si="43"/>
        <v>-32502.869999999937</v>
      </c>
      <c r="H135" s="51">
        <f>F135/E135*100</f>
        <v>93.46556573785173</v>
      </c>
      <c r="I135" s="36">
        <f t="shared" si="44"/>
        <v>-156764</v>
      </c>
      <c r="J135" s="36">
        <f>F135/D135*100</f>
        <v>74.78341491088314</v>
      </c>
      <c r="K135" s="36">
        <f>F135-494255.9</f>
        <v>-29349.68000000005</v>
      </c>
      <c r="L135" s="136">
        <f>F135/494255.9</f>
        <v>0.940618452910729</v>
      </c>
      <c r="M135" s="22">
        <f>M107+M134</f>
        <v>55407.88999999997</v>
      </c>
      <c r="N135" s="22">
        <f>N107+N134</f>
        <v>32957.55700000001</v>
      </c>
      <c r="O135" s="36">
        <f t="shared" si="45"/>
        <v>-22450.332999999962</v>
      </c>
      <c r="P135" s="36">
        <f>N135/M135*100</f>
        <v>59.48170377901057</v>
      </c>
      <c r="Q135" s="36">
        <f>N135-47119.1</f>
        <v>-14161.54299999999</v>
      </c>
      <c r="R135" s="136">
        <f>N135/47119.1</f>
        <v>0.6994521754447773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7</v>
      </c>
      <c r="D137" s="4" t="s">
        <v>118</v>
      </c>
    </row>
    <row r="138" spans="2:17" ht="31.5">
      <c r="B138" s="78" t="s">
        <v>154</v>
      </c>
      <c r="C138" s="39">
        <f>IF(O107&lt;0,ABS(O107/C137),0)</f>
        <v>2169.040428571424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41934</v>
      </c>
      <c r="D139" s="39">
        <v>2363.1</v>
      </c>
      <c r="N139" s="211"/>
      <c r="O139" s="211"/>
    </row>
    <row r="140" spans="3:15" ht="15.75">
      <c r="C140" s="120">
        <v>41933</v>
      </c>
      <c r="D140" s="39">
        <v>1635.8</v>
      </c>
      <c r="F140" s="4" t="s">
        <v>166</v>
      </c>
      <c r="G140" s="179" t="s">
        <v>151</v>
      </c>
      <c r="H140" s="179"/>
      <c r="I140" s="115">
        <f>'[1]залишки  (2)'!$G$9/1000</f>
        <v>9020.59653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41932</v>
      </c>
      <c r="D141" s="39">
        <v>1770.1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f>'[1]залишки  (2)'!$G$8/1000</f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f>'[1]залишки  (2)'!$G$6/1000</f>
        <v>116935.61727</v>
      </c>
      <c r="E143" s="80"/>
      <c r="F143" s="100" t="s">
        <v>147</v>
      </c>
      <c r="G143" s="179" t="s">
        <v>149</v>
      </c>
      <c r="H143" s="179"/>
      <c r="I143" s="116">
        <f>'[1]залишки  (2)'!$G$10/1000</f>
        <v>107915.02073999999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f>'[1]надх'!$B$52/1000</f>
        <v>13060.680209999997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83" t="s">
        <v>183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221" t="s">
        <v>192</v>
      </c>
      <c r="E3" s="46"/>
      <c r="F3" s="222" t="s">
        <v>107</v>
      </c>
      <c r="G3" s="223"/>
      <c r="H3" s="223"/>
      <c r="I3" s="223"/>
      <c r="J3" s="224"/>
      <c r="K3" s="123"/>
      <c r="L3" s="123"/>
      <c r="M3" s="204" t="s">
        <v>200</v>
      </c>
      <c r="N3" s="220" t="s">
        <v>178</v>
      </c>
      <c r="O3" s="220"/>
      <c r="P3" s="220"/>
      <c r="Q3" s="220"/>
      <c r="R3" s="220"/>
    </row>
    <row r="4" spans="1:18" ht="22.5" customHeight="1">
      <c r="A4" s="185"/>
      <c r="B4" s="187"/>
      <c r="C4" s="188"/>
      <c r="D4" s="221"/>
      <c r="E4" s="226" t="s">
        <v>153</v>
      </c>
      <c r="F4" s="228" t="s">
        <v>116</v>
      </c>
      <c r="G4" s="230" t="s">
        <v>175</v>
      </c>
      <c r="H4" s="200" t="s">
        <v>176</v>
      </c>
      <c r="I4" s="232" t="s">
        <v>188</v>
      </c>
      <c r="J4" s="234" t="s">
        <v>189</v>
      </c>
      <c r="K4" s="125" t="s">
        <v>174</v>
      </c>
      <c r="L4" s="130" t="s">
        <v>173</v>
      </c>
      <c r="M4" s="236"/>
      <c r="N4" s="181" t="s">
        <v>186</v>
      </c>
      <c r="O4" s="232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6"/>
      <c r="B5" s="187"/>
      <c r="C5" s="188"/>
      <c r="D5" s="221"/>
      <c r="E5" s="227"/>
      <c r="F5" s="229"/>
      <c r="G5" s="231"/>
      <c r="H5" s="201"/>
      <c r="I5" s="233"/>
      <c r="J5" s="235"/>
      <c r="K5" s="208" t="s">
        <v>177</v>
      </c>
      <c r="L5" s="209"/>
      <c r="M5" s="205"/>
      <c r="N5" s="182"/>
      <c r="O5" s="233"/>
      <c r="P5" s="220"/>
      <c r="Q5" s="208" t="s">
        <v>179</v>
      </c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211"/>
      <c r="O138" s="211"/>
    </row>
    <row r="139" spans="3:15" ht="15.75">
      <c r="C139" s="120">
        <v>41669</v>
      </c>
      <c r="D139" s="39">
        <v>4752.2</v>
      </c>
      <c r="F139" s="4" t="s">
        <v>166</v>
      </c>
      <c r="G139" s="179" t="s">
        <v>151</v>
      </c>
      <c r="H139" s="179"/>
      <c r="I139" s="115">
        <v>13825.22</v>
      </c>
      <c r="J139" s="180" t="s">
        <v>161</v>
      </c>
      <c r="K139" s="180"/>
      <c r="L139" s="180"/>
      <c r="M139" s="180"/>
      <c r="N139" s="211"/>
      <c r="O139" s="211"/>
    </row>
    <row r="140" spans="3:15" ht="15.75">
      <c r="C140" s="120">
        <v>41668</v>
      </c>
      <c r="D140" s="39">
        <v>1984.7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211"/>
      <c r="O140" s="211"/>
    </row>
    <row r="141" spans="7:13" ht="15.75" customHeight="1">
      <c r="G141" s="179" t="s">
        <v>148</v>
      </c>
      <c r="H141" s="179"/>
      <c r="I141" s="112"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111410.62</v>
      </c>
      <c r="E142" s="80"/>
      <c r="F142" s="100" t="s">
        <v>147</v>
      </c>
      <c r="G142" s="179" t="s">
        <v>149</v>
      </c>
      <c r="H142" s="179"/>
      <c r="I142" s="116">
        <v>97585.4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v>0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99" sqref="G99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276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272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269</v>
      </c>
      <c r="H4" s="200" t="s">
        <v>270</v>
      </c>
      <c r="I4" s="202" t="s">
        <v>188</v>
      </c>
      <c r="J4" s="204" t="s">
        <v>189</v>
      </c>
      <c r="K4" s="206" t="s">
        <v>274</v>
      </c>
      <c r="L4" s="207"/>
      <c r="M4" s="194"/>
      <c r="N4" s="181" t="s">
        <v>277</v>
      </c>
      <c r="O4" s="202" t="s">
        <v>136</v>
      </c>
      <c r="P4" s="202" t="s">
        <v>135</v>
      </c>
      <c r="Q4" s="206" t="s">
        <v>275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268</v>
      </c>
      <c r="F5" s="197"/>
      <c r="G5" s="199"/>
      <c r="H5" s="201"/>
      <c r="I5" s="203"/>
      <c r="J5" s="205"/>
      <c r="K5" s="208"/>
      <c r="L5" s="209"/>
      <c r="M5" s="151" t="s">
        <v>271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177" t="s">
        <v>284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758.4</v>
      </c>
      <c r="G102" s="144"/>
      <c r="H102" s="146"/>
      <c r="I102" s="145"/>
      <c r="J102" s="145"/>
      <c r="K102" s="148">
        <f>F102-545.2</f>
        <v>213.19999999999993</v>
      </c>
      <c r="L102" s="149">
        <f>F102/545.2</f>
        <v>1.3910491562729272</v>
      </c>
      <c r="M102" s="40">
        <f>E102-серпень!E102</f>
        <v>0</v>
      </c>
      <c r="N102" s="40">
        <f>F102-серпень!F102</f>
        <v>122.60000000000002</v>
      </c>
      <c r="O102" s="53"/>
      <c r="P102" s="60"/>
      <c r="Q102" s="60">
        <f>N102-124.1</f>
        <v>-1.4999999999999716</v>
      </c>
      <c r="R102" s="138">
        <f>N102/124.1</f>
        <v>0.9879129734085417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75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76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211"/>
      <c r="O139" s="211"/>
    </row>
    <row r="140" spans="3:15" ht="15.75">
      <c r="C140" s="120">
        <v>41911</v>
      </c>
      <c r="D140" s="39">
        <v>4937.4</v>
      </c>
      <c r="F140" s="4" t="s">
        <v>166</v>
      </c>
      <c r="G140" s="179" t="s">
        <v>151</v>
      </c>
      <c r="H140" s="179"/>
      <c r="I140" s="115">
        <f>9020596.53/1000</f>
        <v>9020.596529999999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41908</v>
      </c>
      <c r="D141" s="39">
        <v>1468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f>121201109.21/1000</f>
        <v>121201.10921</v>
      </c>
      <c r="E143" s="80"/>
      <c r="F143" s="100" t="s">
        <v>147</v>
      </c>
      <c r="G143" s="179" t="s">
        <v>149</v>
      </c>
      <c r="H143" s="179"/>
      <c r="I143" s="116">
        <f>112180512.68/1000</f>
        <v>112180.51268000001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f>17426016.57/1000</f>
        <v>17426.01657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266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261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259</v>
      </c>
      <c r="H4" s="200" t="s">
        <v>260</v>
      </c>
      <c r="I4" s="202" t="s">
        <v>188</v>
      </c>
      <c r="J4" s="204" t="s">
        <v>189</v>
      </c>
      <c r="K4" s="206" t="s">
        <v>264</v>
      </c>
      <c r="L4" s="207"/>
      <c r="M4" s="194"/>
      <c r="N4" s="181" t="s">
        <v>267</v>
      </c>
      <c r="O4" s="202" t="s">
        <v>136</v>
      </c>
      <c r="P4" s="202" t="s">
        <v>135</v>
      </c>
      <c r="Q4" s="206" t="s">
        <v>265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258</v>
      </c>
      <c r="F5" s="197"/>
      <c r="G5" s="199"/>
      <c r="H5" s="201"/>
      <c r="I5" s="203"/>
      <c r="J5" s="205"/>
      <c r="K5" s="208"/>
      <c r="L5" s="209"/>
      <c r="M5" s="151" t="s">
        <v>262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211"/>
      <c r="O139" s="211"/>
    </row>
    <row r="140" spans="3:15" ht="15.75">
      <c r="C140" s="120">
        <v>41879</v>
      </c>
      <c r="D140" s="39">
        <v>3653.6</v>
      </c>
      <c r="F140" s="4" t="s">
        <v>166</v>
      </c>
      <c r="G140" s="179" t="s">
        <v>151</v>
      </c>
      <c r="H140" s="179"/>
      <c r="I140" s="115">
        <v>13829.857960000001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41878</v>
      </c>
      <c r="D141" s="39">
        <v>1194.3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v>127799.14</v>
      </c>
      <c r="E143" s="80"/>
      <c r="F143" s="100" t="s">
        <v>147</v>
      </c>
      <c r="G143" s="179" t="s">
        <v>149</v>
      </c>
      <c r="H143" s="179"/>
      <c r="I143" s="116">
        <v>113969.28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v>18493.9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256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252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249</v>
      </c>
      <c r="H4" s="200" t="s">
        <v>250</v>
      </c>
      <c r="I4" s="202" t="s">
        <v>188</v>
      </c>
      <c r="J4" s="204" t="s">
        <v>189</v>
      </c>
      <c r="K4" s="206" t="s">
        <v>254</v>
      </c>
      <c r="L4" s="207"/>
      <c r="M4" s="194"/>
      <c r="N4" s="181" t="s">
        <v>257</v>
      </c>
      <c r="O4" s="202" t="s">
        <v>136</v>
      </c>
      <c r="P4" s="202" t="s">
        <v>135</v>
      </c>
      <c r="Q4" s="206" t="s">
        <v>255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248</v>
      </c>
      <c r="F5" s="197"/>
      <c r="G5" s="199"/>
      <c r="H5" s="201"/>
      <c r="I5" s="203"/>
      <c r="J5" s="205"/>
      <c r="K5" s="208"/>
      <c r="L5" s="209"/>
      <c r="M5" s="151" t="s">
        <v>251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211"/>
      <c r="O139" s="211"/>
    </row>
    <row r="140" spans="3:15" ht="15.75">
      <c r="C140" s="120">
        <v>41850</v>
      </c>
      <c r="D140" s="39">
        <v>4320</v>
      </c>
      <c r="F140" s="4" t="s">
        <v>166</v>
      </c>
      <c r="G140" s="179" t="s">
        <v>151</v>
      </c>
      <c r="H140" s="179"/>
      <c r="I140" s="115">
        <f>13825221.96/1000</f>
        <v>13825.22196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41849</v>
      </c>
      <c r="D141" s="39">
        <v>4403.7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f>'[1]залишки  (2)'!$G$8/1000</f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f>120856761.09/1000</f>
        <v>120856.76109</v>
      </c>
      <c r="E143" s="80"/>
      <c r="F143" s="100" t="s">
        <v>147</v>
      </c>
      <c r="G143" s="179" t="s">
        <v>149</v>
      </c>
      <c r="H143" s="179"/>
      <c r="I143" s="116">
        <f>107031539.13/1000</f>
        <v>107031.53912999999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f>26199804.73/1000</f>
        <v>26199.80473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246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243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238</v>
      </c>
      <c r="H4" s="200" t="s">
        <v>239</v>
      </c>
      <c r="I4" s="202" t="s">
        <v>188</v>
      </c>
      <c r="J4" s="204" t="s">
        <v>189</v>
      </c>
      <c r="K4" s="206" t="s">
        <v>240</v>
      </c>
      <c r="L4" s="207"/>
      <c r="M4" s="194"/>
      <c r="N4" s="181" t="s">
        <v>247</v>
      </c>
      <c r="O4" s="202" t="s">
        <v>136</v>
      </c>
      <c r="P4" s="202" t="s">
        <v>135</v>
      </c>
      <c r="Q4" s="206" t="s">
        <v>242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237</v>
      </c>
      <c r="F5" s="197"/>
      <c r="G5" s="199"/>
      <c r="H5" s="201"/>
      <c r="I5" s="203"/>
      <c r="J5" s="205"/>
      <c r="K5" s="208"/>
      <c r="L5" s="209"/>
      <c r="M5" s="151" t="s">
        <v>241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211"/>
      <c r="O139" s="211"/>
    </row>
    <row r="140" spans="3:15" ht="15.75">
      <c r="C140" s="120">
        <v>41816</v>
      </c>
      <c r="D140" s="39">
        <v>4277.2</v>
      </c>
      <c r="F140" s="4" t="s">
        <v>166</v>
      </c>
      <c r="G140" s="179" t="s">
        <v>151</v>
      </c>
      <c r="H140" s="179"/>
      <c r="I140" s="115">
        <f>'[1]залишки  (2)'!$G$9/1000</f>
        <v>9020.59653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41815</v>
      </c>
      <c r="D141" s="39">
        <v>1877.7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f>'[1]залишки  (2)'!$G$8/1000</f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v>117976.29</v>
      </c>
      <c r="E143" s="80"/>
      <c r="F143" s="100" t="s">
        <v>147</v>
      </c>
      <c r="G143" s="179" t="s">
        <v>149</v>
      </c>
      <c r="H143" s="179"/>
      <c r="I143" s="116">
        <v>104151.07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v>41386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235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233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229</v>
      </c>
      <c r="H4" s="200" t="s">
        <v>230</v>
      </c>
      <c r="I4" s="202" t="s">
        <v>188</v>
      </c>
      <c r="J4" s="204" t="s">
        <v>189</v>
      </c>
      <c r="K4" s="206" t="s">
        <v>231</v>
      </c>
      <c r="L4" s="207"/>
      <c r="M4" s="194"/>
      <c r="N4" s="181" t="s">
        <v>236</v>
      </c>
      <c r="O4" s="202" t="s">
        <v>136</v>
      </c>
      <c r="P4" s="202" t="s">
        <v>135</v>
      </c>
      <c r="Q4" s="206" t="s">
        <v>234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228</v>
      </c>
      <c r="F5" s="197"/>
      <c r="G5" s="199"/>
      <c r="H5" s="201"/>
      <c r="I5" s="203"/>
      <c r="J5" s="205"/>
      <c r="K5" s="208"/>
      <c r="L5" s="209"/>
      <c r="M5" s="151" t="s">
        <v>232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211"/>
      <c r="O138" s="211"/>
    </row>
    <row r="139" spans="3:15" ht="15.75">
      <c r="C139" s="120">
        <v>41788</v>
      </c>
      <c r="D139" s="39">
        <v>5993.3</v>
      </c>
      <c r="F139" s="4" t="s">
        <v>166</v>
      </c>
      <c r="G139" s="179" t="s">
        <v>151</v>
      </c>
      <c r="H139" s="179"/>
      <c r="I139" s="115">
        <v>13825.22196</v>
      </c>
      <c r="J139" s="180" t="s">
        <v>161</v>
      </c>
      <c r="K139" s="180"/>
      <c r="L139" s="180"/>
      <c r="M139" s="180"/>
      <c r="N139" s="211"/>
      <c r="O139" s="211"/>
    </row>
    <row r="140" spans="3:15" ht="15.75">
      <c r="C140" s="120">
        <v>41787</v>
      </c>
      <c r="D140" s="39">
        <v>2595.2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211"/>
      <c r="O140" s="211"/>
    </row>
    <row r="141" spans="7:13" ht="15.75" customHeight="1">
      <c r="G141" s="179" t="s">
        <v>148</v>
      </c>
      <c r="H141" s="179"/>
      <c r="I141" s="112"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118982.48</v>
      </c>
      <c r="E142" s="80"/>
      <c r="F142" s="100" t="s">
        <v>147</v>
      </c>
      <c r="G142" s="179" t="s">
        <v>149</v>
      </c>
      <c r="H142" s="179"/>
      <c r="I142" s="116">
        <v>105157.26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v>27359.4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226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221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217</v>
      </c>
      <c r="H4" s="200" t="s">
        <v>218</v>
      </c>
      <c r="I4" s="202" t="s">
        <v>188</v>
      </c>
      <c r="J4" s="204" t="s">
        <v>189</v>
      </c>
      <c r="K4" s="206" t="s">
        <v>219</v>
      </c>
      <c r="L4" s="207"/>
      <c r="M4" s="194"/>
      <c r="N4" s="181" t="s">
        <v>227</v>
      </c>
      <c r="O4" s="202" t="s">
        <v>136</v>
      </c>
      <c r="P4" s="202" t="s">
        <v>135</v>
      </c>
      <c r="Q4" s="206" t="s">
        <v>222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216</v>
      </c>
      <c r="F5" s="197"/>
      <c r="G5" s="199"/>
      <c r="H5" s="201"/>
      <c r="I5" s="203"/>
      <c r="J5" s="205"/>
      <c r="K5" s="208"/>
      <c r="L5" s="209"/>
      <c r="M5" s="151" t="s">
        <v>220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211"/>
      <c r="O138" s="211"/>
    </row>
    <row r="139" spans="3:15" ht="15.75">
      <c r="C139" s="120">
        <v>41758</v>
      </c>
      <c r="D139" s="39">
        <v>5440.9</v>
      </c>
      <c r="F139" s="4" t="s">
        <v>166</v>
      </c>
      <c r="G139" s="179" t="s">
        <v>151</v>
      </c>
      <c r="H139" s="179"/>
      <c r="I139" s="115">
        <v>13825.22</v>
      </c>
      <c r="J139" s="180" t="s">
        <v>161</v>
      </c>
      <c r="K139" s="180"/>
      <c r="L139" s="180"/>
      <c r="M139" s="180"/>
      <c r="N139" s="211"/>
      <c r="O139" s="211"/>
    </row>
    <row r="140" spans="3:15" ht="15.75">
      <c r="C140" s="120">
        <v>41757</v>
      </c>
      <c r="D140" s="39">
        <v>1923.2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211"/>
      <c r="O140" s="211"/>
    </row>
    <row r="141" spans="7:13" ht="15.75" customHeight="1">
      <c r="G141" s="179" t="s">
        <v>148</v>
      </c>
      <c r="H141" s="179"/>
      <c r="I141" s="112"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123251.48</v>
      </c>
      <c r="E142" s="80"/>
      <c r="F142" s="100" t="s">
        <v>147</v>
      </c>
      <c r="G142" s="179" t="s">
        <v>149</v>
      </c>
      <c r="H142" s="179"/>
      <c r="I142" s="116">
        <v>109426.25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f>'[1]надх'!$B$52/1000</f>
        <v>13060.680209999997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3" t="s">
        <v>212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208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210</v>
      </c>
      <c r="N3" s="195" t="s">
        <v>198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207</v>
      </c>
      <c r="H4" s="200" t="s">
        <v>195</v>
      </c>
      <c r="I4" s="202" t="s">
        <v>188</v>
      </c>
      <c r="J4" s="204" t="s">
        <v>189</v>
      </c>
      <c r="K4" s="206" t="s">
        <v>196</v>
      </c>
      <c r="L4" s="207"/>
      <c r="M4" s="194"/>
      <c r="N4" s="181" t="s">
        <v>213</v>
      </c>
      <c r="O4" s="202" t="s">
        <v>136</v>
      </c>
      <c r="P4" s="202" t="s">
        <v>135</v>
      </c>
      <c r="Q4" s="206" t="s">
        <v>197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214</v>
      </c>
      <c r="F5" s="197"/>
      <c r="G5" s="199"/>
      <c r="H5" s="201"/>
      <c r="I5" s="203"/>
      <c r="J5" s="205"/>
      <c r="K5" s="208"/>
      <c r="L5" s="209"/>
      <c r="M5" s="151" t="s">
        <v>211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211"/>
      <c r="O138" s="211"/>
    </row>
    <row r="139" spans="3:15" ht="15.75">
      <c r="C139" s="120">
        <v>41726</v>
      </c>
      <c r="D139" s="39">
        <v>4682.6</v>
      </c>
      <c r="F139" s="4" t="s">
        <v>166</v>
      </c>
      <c r="G139" s="179" t="s">
        <v>151</v>
      </c>
      <c r="H139" s="179"/>
      <c r="I139" s="115">
        <v>13825.22196</v>
      </c>
      <c r="J139" s="180" t="s">
        <v>161</v>
      </c>
      <c r="K139" s="180"/>
      <c r="L139" s="180"/>
      <c r="M139" s="180"/>
      <c r="N139" s="211"/>
      <c r="O139" s="211"/>
    </row>
    <row r="140" spans="3:15" ht="15.75">
      <c r="C140" s="120">
        <v>41725</v>
      </c>
      <c r="D140" s="39">
        <v>3360.7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211"/>
      <c r="O140" s="211"/>
    </row>
    <row r="141" spans="7:13" ht="15.75" customHeight="1">
      <c r="G141" s="179" t="s">
        <v>148</v>
      </c>
      <c r="H141" s="179"/>
      <c r="I141" s="112"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114985.02570999999</v>
      </c>
      <c r="E142" s="80"/>
      <c r="F142" s="100" t="s">
        <v>147</v>
      </c>
      <c r="G142" s="179" t="s">
        <v>149</v>
      </c>
      <c r="H142" s="179"/>
      <c r="I142" s="116">
        <v>101159.80375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v>3918.1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8"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  <mergeCell ref="N4:N5"/>
    <mergeCell ref="O4:O5"/>
    <mergeCell ref="P4:P5"/>
    <mergeCell ref="G137:J137"/>
    <mergeCell ref="N138:O138"/>
    <mergeCell ref="G139:H139"/>
    <mergeCell ref="J139:M139"/>
    <mergeCell ref="N139:O139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83" t="s">
        <v>193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221" t="s">
        <v>187</v>
      </c>
      <c r="E3" s="46"/>
      <c r="F3" s="222" t="s">
        <v>107</v>
      </c>
      <c r="G3" s="223"/>
      <c r="H3" s="223"/>
      <c r="I3" s="223"/>
      <c r="J3" s="224"/>
      <c r="K3" s="123"/>
      <c r="L3" s="123"/>
      <c r="M3" s="225" t="s">
        <v>190</v>
      </c>
      <c r="N3" s="220" t="s">
        <v>185</v>
      </c>
      <c r="O3" s="220"/>
      <c r="P3" s="220"/>
      <c r="Q3" s="220"/>
      <c r="R3" s="220"/>
    </row>
    <row r="4" spans="1:18" ht="22.5" customHeight="1">
      <c r="A4" s="185"/>
      <c r="B4" s="187"/>
      <c r="C4" s="188"/>
      <c r="D4" s="221"/>
      <c r="E4" s="226" t="s">
        <v>191</v>
      </c>
      <c r="F4" s="228" t="s">
        <v>116</v>
      </c>
      <c r="G4" s="230" t="s">
        <v>167</v>
      </c>
      <c r="H4" s="200" t="s">
        <v>168</v>
      </c>
      <c r="I4" s="232" t="s">
        <v>188</v>
      </c>
      <c r="J4" s="234" t="s">
        <v>189</v>
      </c>
      <c r="K4" s="125" t="s">
        <v>174</v>
      </c>
      <c r="L4" s="130" t="s">
        <v>173</v>
      </c>
      <c r="M4" s="225"/>
      <c r="N4" s="181" t="s">
        <v>194</v>
      </c>
      <c r="O4" s="232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6"/>
      <c r="B5" s="187"/>
      <c r="C5" s="188"/>
      <c r="D5" s="221"/>
      <c r="E5" s="227"/>
      <c r="F5" s="229"/>
      <c r="G5" s="231"/>
      <c r="H5" s="201"/>
      <c r="I5" s="233"/>
      <c r="J5" s="235"/>
      <c r="K5" s="208" t="s">
        <v>184</v>
      </c>
      <c r="L5" s="209"/>
      <c r="M5" s="225"/>
      <c r="N5" s="182"/>
      <c r="O5" s="233"/>
      <c r="P5" s="220"/>
      <c r="Q5" s="208" t="s">
        <v>199</v>
      </c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211"/>
      <c r="O138" s="211"/>
    </row>
    <row r="139" spans="3:15" ht="15.75">
      <c r="C139" s="120">
        <v>41697</v>
      </c>
      <c r="D139" s="39">
        <v>2276.8</v>
      </c>
      <c r="F139" s="4" t="s">
        <v>166</v>
      </c>
      <c r="G139" s="179" t="s">
        <v>151</v>
      </c>
      <c r="H139" s="179"/>
      <c r="I139" s="115">
        <v>13825.22</v>
      </c>
      <c r="J139" s="180" t="s">
        <v>161</v>
      </c>
      <c r="K139" s="180"/>
      <c r="L139" s="180"/>
      <c r="M139" s="180"/>
      <c r="N139" s="211"/>
      <c r="O139" s="211"/>
    </row>
    <row r="140" spans="3:15" ht="15.75">
      <c r="C140" s="120">
        <v>41696</v>
      </c>
      <c r="D140" s="39">
        <v>3746.1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211"/>
      <c r="O140" s="211"/>
    </row>
    <row r="141" spans="7:13" ht="15.75" customHeight="1">
      <c r="G141" s="179" t="s">
        <v>148</v>
      </c>
      <c r="H141" s="179"/>
      <c r="I141" s="112">
        <f>'[1]залишки  (2)'!$G$8/1000</f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121970.53</v>
      </c>
      <c r="E142" s="80"/>
      <c r="F142" s="100" t="s">
        <v>147</v>
      </c>
      <c r="G142" s="179" t="s">
        <v>149</v>
      </c>
      <c r="H142" s="179"/>
      <c r="I142" s="116">
        <v>108145.31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v>0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2014-10-23T07:20:16Z</cp:lastPrinted>
  <dcterms:created xsi:type="dcterms:W3CDTF">2003-07-28T11:27:56Z</dcterms:created>
  <dcterms:modified xsi:type="dcterms:W3CDTF">2014-10-23T07:20:34Z</dcterms:modified>
  <cp:category/>
  <cp:version/>
  <cp:contentType/>
  <cp:contentStatus/>
</cp:coreProperties>
</file>